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75" windowHeight="12525" activeTab="0"/>
  </bookViews>
  <sheets>
    <sheet name="Výpočet Rinnai" sheetId="1" r:id="rId1"/>
    <sheet name="Vstupy" sheetId="2" state="hidden" r:id="rId2"/>
  </sheets>
  <definedNames/>
  <calcPr fullCalcOnLoad="1"/>
</workbook>
</file>

<file path=xl/sharedStrings.xml><?xml version="1.0" encoding="utf-8"?>
<sst xmlns="http://schemas.openxmlformats.org/spreadsheetml/2006/main" count="76" uniqueCount="60">
  <si>
    <r>
      <t xml:space="preserve">Příprava teplé vody </t>
    </r>
    <r>
      <rPr>
        <b/>
        <sz val="18"/>
        <color indexed="10"/>
        <rFont val="Arial"/>
        <family val="2"/>
      </rPr>
      <t>RINNAI</t>
    </r>
  </si>
  <si>
    <t>Orientační výpočet potřebného výkonu, provozních nákladů a úspor</t>
  </si>
  <si>
    <t xml:space="preserve">Vstupní parametry zadejte. Ceny energií případně upravte. </t>
  </si>
  <si>
    <t>[litr/min.]</t>
  </si>
  <si>
    <t>Cena zemního plynu *</t>
  </si>
  <si>
    <r>
      <t>[Kč/m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</si>
  <si>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t>Elektrický bojler (jednosazbový tarif)</t>
  </si>
  <si>
    <t>[min]</t>
  </si>
  <si>
    <t>Cena propanu *</t>
  </si>
  <si>
    <t>[Kč/kg]</t>
  </si>
  <si>
    <t xml:space="preserve">Teplota vstupní vody </t>
  </si>
  <si>
    <t>[°C]</t>
  </si>
  <si>
    <t>Cena elektrické energie I* (jednosazbová)</t>
  </si>
  <si>
    <t>[Kč/kWh]</t>
  </si>
  <si>
    <t>Nepřímotopý bojler s plynovým kotlem - ZP</t>
  </si>
  <si>
    <t>Teplota výstupní vody</t>
  </si>
  <si>
    <t>Cena elektrické energie II* (NT dvousazbová)</t>
  </si>
  <si>
    <t>Potřebný výkon</t>
  </si>
  <si>
    <t xml:space="preserve"> [kW]</t>
  </si>
  <si>
    <t>[ks]</t>
  </si>
  <si>
    <t>[Kč]</t>
  </si>
  <si>
    <t>[litr]</t>
  </si>
  <si>
    <t>[%]</t>
  </si>
  <si>
    <t>Optimalizovaný potřebný výkon</t>
  </si>
  <si>
    <t>Rinnai 16i s nabíjeným zásobníkem</t>
  </si>
  <si>
    <t>nelze</t>
  </si>
  <si>
    <t>Rinnai HD50i s nabíjeným zásobníkem</t>
  </si>
  <si>
    <t>Odhadněte celkovou roční spotřebu teplé vody</t>
  </si>
  <si>
    <t>Rinnai HDC1500i s nabíjeným zásobníkem</t>
  </si>
  <si>
    <t>[rok]</t>
  </si>
  <si>
    <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</si>
  <si>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 xml:space="preserve">Max. průtok ve špičce </t>
    </r>
    <r>
      <rPr>
        <b/>
        <vertAlign val="superscript"/>
        <sz val="10"/>
        <rFont val="Arial"/>
        <family val="2"/>
      </rPr>
      <t>1</t>
    </r>
  </si>
  <si>
    <t xml:space="preserve">    [Kč/špička]</t>
  </si>
  <si>
    <t>Nepřímotopý bojler s plynovým kotlem - propan</t>
  </si>
  <si>
    <t>Elektrický bojler (NT dvousazbový tarif)</t>
  </si>
  <si>
    <t>Přímotopný plynový bojler - ZP</t>
  </si>
  <si>
    <t>Přímotopný plynový bojler - propan</t>
  </si>
  <si>
    <t>Zvolte používaný způsob ohřevu.</t>
  </si>
  <si>
    <r>
      <t xml:space="preserve">Náklady na přípravu teplé vody </t>
    </r>
    <r>
      <rPr>
        <b/>
        <sz val="14"/>
        <color indexed="10"/>
        <rFont val="Arial"/>
        <family val="2"/>
      </rPr>
      <t>RINNAI</t>
    </r>
  </si>
  <si>
    <t>Náklady na přípravu teplé vody současnost</t>
  </si>
  <si>
    <t>Náklady na ohřev současnost</t>
  </si>
  <si>
    <t>Náklady na ohřev Rinnai HD 50i</t>
  </si>
  <si>
    <t>Náklady na ohřev Rinnai HDC 1500i</t>
  </si>
  <si>
    <t>Vybraná hodnota</t>
  </si>
  <si>
    <r>
      <t xml:space="preserve">při použití </t>
    </r>
    <r>
      <rPr>
        <b/>
        <sz val="12"/>
        <color indexed="10"/>
        <rFont val="Arial"/>
        <family val="2"/>
      </rPr>
      <t>RINNAI HD 50i</t>
    </r>
  </si>
  <si>
    <r>
      <t xml:space="preserve">při použití </t>
    </r>
    <r>
      <rPr>
        <b/>
        <sz val="12"/>
        <color indexed="10"/>
        <rFont val="Arial"/>
        <family val="2"/>
      </rPr>
      <t>RINNAI HDC 1500i</t>
    </r>
  </si>
  <si>
    <r>
      <t xml:space="preserve">Při porovnávání s elektrickou energií jsou použity náklady provozu </t>
    </r>
    <r>
      <rPr>
        <b/>
        <i/>
        <sz val="10"/>
        <color indexed="10"/>
        <rFont val="Arial"/>
        <family val="2"/>
      </rPr>
      <t>Rinnai</t>
    </r>
    <r>
      <rPr>
        <i/>
        <sz val="10"/>
        <color indexed="8"/>
        <rFont val="Arial"/>
        <family val="2"/>
      </rPr>
      <t xml:space="preserve"> na propan.</t>
    </r>
  </si>
  <si>
    <r>
      <t xml:space="preserve">Rinnai 16i </t>
    </r>
    <r>
      <rPr>
        <sz val="10"/>
        <rFont val="Arial"/>
        <family val="2"/>
      </rPr>
      <t>- počet</t>
    </r>
  </si>
  <si>
    <r>
      <t>Rinnai HD50i</t>
    </r>
    <r>
      <rPr>
        <sz val="10"/>
        <rFont val="Arial"/>
        <family val="2"/>
      </rPr>
      <t xml:space="preserve"> - počet</t>
    </r>
  </si>
  <si>
    <r>
      <t>Rinnai HDC1500i</t>
    </r>
    <r>
      <rPr>
        <sz val="10"/>
        <rFont val="Arial"/>
        <family val="2"/>
      </rPr>
      <t xml:space="preserve"> - počet</t>
    </r>
  </si>
  <si>
    <r>
      <t xml:space="preserve">Úspory při použití </t>
    </r>
    <r>
      <rPr>
        <b/>
        <sz val="14"/>
        <color indexed="10"/>
        <rFont val="Arial"/>
        <family val="2"/>
      </rPr>
      <t>RINNAI</t>
    </r>
    <r>
      <rPr>
        <b/>
        <sz val="14"/>
        <rFont val="Arial"/>
        <family val="2"/>
      </rPr>
      <t xml:space="preserve"> proti současnosti</t>
    </r>
  </si>
  <si>
    <t xml:space="preserve">* Ceny energií včetně paušálů rok 2011, sazby pro podnikatele </t>
  </si>
  <si>
    <r>
      <t>1</t>
    </r>
    <r>
      <rPr>
        <sz val="10"/>
        <rFont val="Arial"/>
        <family val="0"/>
      </rPr>
      <t xml:space="preserve"> Max. předpokládaný průtok, např.: 6 sprch najednou s průtokem 8,5l/min.=51 litrů/min.</t>
    </r>
  </si>
  <si>
    <r>
      <t xml:space="preserve">Doba špičky čerpání </t>
    </r>
    <r>
      <rPr>
        <b/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</si>
  <si>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0"/>
      </rPr>
      <t xml:space="preserve"> Doba trvání špičkového odběru</t>
    </r>
  </si>
  <si>
    <r>
      <t xml:space="preserve">Optimalizace použitím nabíjeného zásobníku </t>
    </r>
    <r>
      <rPr>
        <i/>
        <sz val="10"/>
        <rFont val="Arial"/>
        <family val="2"/>
      </rPr>
      <t>(20% celkové kapacity špičky nebo podle potřeby)</t>
    </r>
    <r>
      <rPr>
        <vertAlign val="superscript"/>
        <sz val="10"/>
        <rFont val="Arial"/>
        <family val="2"/>
      </rPr>
      <t>3</t>
    </r>
  </si>
  <si>
    <r>
      <t>3</t>
    </r>
    <r>
      <rPr>
        <sz val="10"/>
        <rFont val="Arial"/>
        <family val="0"/>
      </rPr>
      <t xml:space="preserve"> Optimalizace není promítnuta do výpočtu nákladů a návratností</t>
    </r>
  </si>
  <si>
    <r>
      <t xml:space="preserve">Návratnost investice za nákup ohřívačů </t>
    </r>
    <r>
      <rPr>
        <b/>
        <sz val="14"/>
        <color indexed="10"/>
        <rFont val="Arial"/>
        <family val="2"/>
      </rPr>
      <t>Rinnai</t>
    </r>
  </si>
  <si>
    <t>Zeleně orámované hodnoty budou automaticky dopočítány po zadání modrých polí.</t>
  </si>
  <si>
    <t>Ceny spotřebičů rok 2013.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</si>
</sst>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\ [$Kč-405]_-;\-* #,##0\ [$Kč-405]_-;_-* &quot;-&quot;\ [$Kč-405]_-;_-@_-"/>
    <numFmt numFmtId="173" formatCode="#,##0\ [$Kč-405]"/>
    <numFmt numFmtId="174" formatCode="#,##0.00\ [$Kč-405]"/>
    <numFmt numFmtId="175" formatCode="#,##0.0"/>
  </numFmts>
  <fonts count="24">
    <font>
      <sz val="10"/>
      <name val="Arial"/>
      <family val="0"/>
    </font>
    <font>
      <sz val="8"/>
      <name val="Tahoma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color indexed="12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2"/>
      <color indexed="57"/>
      <name val="Arial"/>
      <family val="2"/>
    </font>
    <font>
      <sz val="10"/>
      <color indexed="9"/>
      <name val="Arial"/>
      <family val="0"/>
    </font>
    <font>
      <b/>
      <sz val="10"/>
      <color indexed="8"/>
      <name val="Arial"/>
      <family val="2"/>
    </font>
    <font>
      <sz val="12"/>
      <name val="Arial"/>
      <family val="0"/>
    </font>
    <font>
      <b/>
      <sz val="10"/>
      <color indexed="57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39"/>
      </left>
      <right>
        <color indexed="63"/>
      </right>
      <top style="thin"/>
      <bottom style="thin"/>
    </border>
    <border>
      <left>
        <color indexed="63"/>
      </left>
      <right style="medium">
        <color indexed="39"/>
      </right>
      <top style="thin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>
        <color indexed="63"/>
      </left>
      <right style="medium">
        <color indexed="57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medium">
        <color indexed="39"/>
      </right>
      <top style="thin"/>
      <bottom style="medium">
        <color indexed="57"/>
      </bottom>
    </border>
    <border>
      <left style="medium">
        <color indexed="57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 style="medium">
        <color indexed="5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7" fillId="2" borderId="3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/>
    </xf>
    <xf numFmtId="0" fontId="0" fillId="2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/>
    </xf>
    <xf numFmtId="0" fontId="7" fillId="2" borderId="4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12" fillId="2" borderId="8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  <protection hidden="1"/>
    </xf>
    <xf numFmtId="0" fontId="16" fillId="2" borderId="8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vertical="top"/>
    </xf>
    <xf numFmtId="0" fontId="0" fillId="2" borderId="0" xfId="0" applyFont="1" applyFill="1" applyBorder="1" applyAlignment="1">
      <alignment horizontal="center" vertical="center"/>
    </xf>
    <xf numFmtId="172" fontId="12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wrapText="1"/>
    </xf>
    <xf numFmtId="0" fontId="14" fillId="2" borderId="4" xfId="0" applyFont="1" applyFill="1" applyBorder="1" applyAlignment="1">
      <alignment vertical="center"/>
    </xf>
    <xf numFmtId="0" fontId="0" fillId="0" borderId="0" xfId="0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73" fontId="12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/>
    </xf>
    <xf numFmtId="0" fontId="1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Alignment="1">
      <alignment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right" vertical="center"/>
      <protection locked="0"/>
    </xf>
    <xf numFmtId="0" fontId="0" fillId="2" borderId="12" xfId="0" applyFill="1" applyBorder="1" applyAlignment="1">
      <alignment horizontal="center" vertical="center"/>
    </xf>
    <xf numFmtId="0" fontId="21" fillId="2" borderId="1" xfId="0" applyFont="1" applyFill="1" applyBorder="1" applyAlignment="1">
      <alignment/>
    </xf>
    <xf numFmtId="0" fontId="22" fillId="2" borderId="1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8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75" fontId="12" fillId="2" borderId="21" xfId="0" applyNumberFormat="1" applyFont="1" applyFill="1" applyBorder="1" applyAlignment="1" applyProtection="1">
      <alignment horizontal="right" vertical="center"/>
      <protection hidden="1"/>
    </xf>
    <xf numFmtId="175" fontId="12" fillId="2" borderId="22" xfId="0" applyNumberFormat="1" applyFont="1" applyFill="1" applyBorder="1" applyAlignment="1" applyProtection="1">
      <alignment horizontal="right" vertical="center"/>
      <protection hidden="1"/>
    </xf>
    <xf numFmtId="175" fontId="12" fillId="2" borderId="23" xfId="0" applyNumberFormat="1" applyFont="1" applyFill="1" applyBorder="1" applyAlignment="1" applyProtection="1">
      <alignment horizontal="right" vertical="center"/>
      <protection hidden="1"/>
    </xf>
    <xf numFmtId="175" fontId="12" fillId="2" borderId="24" xfId="0" applyNumberFormat="1" applyFont="1" applyFill="1" applyBorder="1" applyAlignment="1" applyProtection="1">
      <alignment horizontal="right" vertical="center"/>
      <protection hidden="1"/>
    </xf>
    <xf numFmtId="9" fontId="12" fillId="2" borderId="23" xfId="0" applyNumberFormat="1" applyFont="1" applyFill="1" applyBorder="1" applyAlignment="1" applyProtection="1">
      <alignment horizontal="right" vertical="center"/>
      <protection hidden="1"/>
    </xf>
    <xf numFmtId="9" fontId="12" fillId="2" borderId="24" xfId="0" applyNumberFormat="1" applyFont="1" applyFill="1" applyBorder="1" applyAlignment="1" applyProtection="1">
      <alignment horizontal="right" vertical="center"/>
      <protection hidden="1"/>
    </xf>
    <xf numFmtId="174" fontId="12" fillId="2" borderId="23" xfId="0" applyNumberFormat="1" applyFont="1" applyFill="1" applyBorder="1" applyAlignment="1" applyProtection="1">
      <alignment horizontal="right" vertical="center"/>
      <protection hidden="1"/>
    </xf>
    <xf numFmtId="174" fontId="12" fillId="2" borderId="24" xfId="0" applyNumberFormat="1" applyFont="1" applyFill="1" applyBorder="1" applyAlignment="1" applyProtection="1">
      <alignment horizontal="right" vertical="center"/>
      <protection hidden="1"/>
    </xf>
    <xf numFmtId="172" fontId="12" fillId="2" borderId="23" xfId="0" applyNumberFormat="1" applyFont="1" applyFill="1" applyBorder="1" applyAlignment="1" applyProtection="1">
      <alignment horizontal="center" vertical="center"/>
      <protection hidden="1"/>
    </xf>
    <xf numFmtId="172" fontId="12" fillId="2" borderId="24" xfId="0" applyNumberFormat="1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9</xdr:row>
      <xdr:rowOff>323850</xdr:rowOff>
    </xdr:from>
    <xdr:to>
      <xdr:col>3</xdr:col>
      <xdr:colOff>1114425</xdr:colOff>
      <xdr:row>12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952750"/>
          <a:ext cx="552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</xdr:row>
      <xdr:rowOff>152400</xdr:rowOff>
    </xdr:from>
    <xdr:to>
      <xdr:col>2</xdr:col>
      <xdr:colOff>47625</xdr:colOff>
      <xdr:row>17</xdr:row>
      <xdr:rowOff>161925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rcRect t="18910"/>
        <a:stretch>
          <a:fillRect/>
        </a:stretch>
      </xdr:blipFill>
      <xdr:spPr>
        <a:xfrm>
          <a:off x="104775" y="4495800"/>
          <a:ext cx="19812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1257300</xdr:colOff>
      <xdr:row>9</xdr:row>
      <xdr:rowOff>323850</xdr:rowOff>
    </xdr:from>
    <xdr:to>
      <xdr:col>4</xdr:col>
      <xdr:colOff>152400</xdr:colOff>
      <xdr:row>12</xdr:row>
      <xdr:rowOff>180975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2952750"/>
          <a:ext cx="552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21.8515625" style="0" customWidth="1"/>
    <col min="2" max="2" width="8.7109375" style="0" customWidth="1"/>
    <col min="3" max="3" width="6.8515625" style="0" customWidth="1"/>
    <col min="4" max="4" width="24.8515625" style="0" customWidth="1"/>
    <col min="5" max="5" width="8.7109375" style="0" customWidth="1"/>
    <col min="6" max="6" width="7.28125" style="0" customWidth="1"/>
    <col min="7" max="7" width="2.28125" style="0" customWidth="1"/>
    <col min="8" max="8" width="16.28125" style="0" customWidth="1"/>
    <col min="9" max="9" width="5.7109375" style="0" customWidth="1"/>
    <col min="10" max="10" width="10.421875" style="0" customWidth="1"/>
    <col min="11" max="11" width="15.00390625" style="0" customWidth="1"/>
    <col min="12" max="12" width="9.00390625" style="0" customWidth="1"/>
    <col min="13" max="13" width="9.421875" style="0" customWidth="1"/>
    <col min="14" max="14" width="2.28125" style="0" customWidth="1"/>
  </cols>
  <sheetData>
    <row r="1" spans="1:13" ht="23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ht="15.75">
      <c r="A2" s="4"/>
      <c r="B2" s="2"/>
      <c r="C2" s="2"/>
      <c r="D2" s="2"/>
      <c r="E2" s="2"/>
      <c r="F2" s="2"/>
      <c r="G2" s="3"/>
      <c r="H2" s="55"/>
      <c r="I2" s="55"/>
      <c r="J2" s="55"/>
      <c r="K2" s="55"/>
      <c r="L2" s="55"/>
      <c r="M2" s="55"/>
    </row>
    <row r="3" spans="1:13" ht="18">
      <c r="A3" s="4" t="s">
        <v>1</v>
      </c>
      <c r="B3" s="2"/>
      <c r="C3" s="2"/>
      <c r="D3" s="2"/>
      <c r="E3" s="2"/>
      <c r="F3" s="2"/>
      <c r="G3" s="3"/>
      <c r="H3" s="54" t="s">
        <v>39</v>
      </c>
      <c r="I3" s="54"/>
      <c r="J3" s="54"/>
      <c r="K3" s="54"/>
      <c r="L3" s="54"/>
      <c r="M3" s="54"/>
    </row>
    <row r="4" spans="1:13" ht="13.5" customHeight="1" thickBot="1">
      <c r="A4" s="46" t="s">
        <v>2</v>
      </c>
      <c r="B4" s="47"/>
      <c r="C4" s="48"/>
      <c r="D4" s="47"/>
      <c r="E4" s="5"/>
      <c r="F4" s="6"/>
      <c r="G4" s="2"/>
      <c r="H4" s="53" t="s">
        <v>37</v>
      </c>
      <c r="I4" s="53"/>
      <c r="J4" s="53"/>
      <c r="K4" s="53"/>
      <c r="L4" s="53"/>
      <c r="M4" s="53"/>
    </row>
    <row r="5" spans="1:13" ht="27.75" customHeight="1" thickBot="1">
      <c r="A5" s="7" t="s">
        <v>31</v>
      </c>
      <c r="B5" s="8" t="s">
        <v>3</v>
      </c>
      <c r="C5" s="43">
        <v>16.66</v>
      </c>
      <c r="D5" s="9" t="s">
        <v>4</v>
      </c>
      <c r="E5" s="8" t="s">
        <v>5</v>
      </c>
      <c r="F5" s="43">
        <v>18</v>
      </c>
      <c r="G5" s="10"/>
      <c r="H5" s="73"/>
      <c r="I5" s="74"/>
      <c r="J5" s="74"/>
      <c r="K5" s="23" t="s">
        <v>32</v>
      </c>
      <c r="L5" s="83">
        <f>Vstupy!F12</f>
        <v>143</v>
      </c>
      <c r="M5" s="84"/>
    </row>
    <row r="6" spans="1:13" ht="25.5" customHeight="1" thickBot="1">
      <c r="A6" s="13" t="s">
        <v>53</v>
      </c>
      <c r="B6" s="14" t="s">
        <v>7</v>
      </c>
      <c r="C6" s="43">
        <v>60</v>
      </c>
      <c r="D6" s="15" t="s">
        <v>8</v>
      </c>
      <c r="E6" s="14" t="s">
        <v>9</v>
      </c>
      <c r="F6" s="43">
        <v>28</v>
      </c>
      <c r="G6" s="10"/>
      <c r="H6" s="50"/>
      <c r="I6" s="50"/>
      <c r="J6" s="29"/>
      <c r="K6" s="30"/>
      <c r="L6" s="11"/>
      <c r="M6" s="12"/>
    </row>
    <row r="7" spans="1:13" ht="26.25" customHeight="1" thickBot="1">
      <c r="A7" s="13" t="s">
        <v>10</v>
      </c>
      <c r="B7" s="14" t="s">
        <v>11</v>
      </c>
      <c r="C7" s="43">
        <v>12</v>
      </c>
      <c r="D7" s="15" t="s">
        <v>12</v>
      </c>
      <c r="E7" s="14" t="s">
        <v>13</v>
      </c>
      <c r="F7" s="43">
        <v>5.9</v>
      </c>
      <c r="G7" s="10"/>
      <c r="H7" s="51" t="s">
        <v>38</v>
      </c>
      <c r="I7" s="51"/>
      <c r="J7" s="51"/>
      <c r="K7" s="51"/>
      <c r="L7" s="51"/>
      <c r="M7" s="51"/>
    </row>
    <row r="8" spans="1:13" ht="26.25" customHeight="1" thickBot="1">
      <c r="A8" s="13" t="s">
        <v>15</v>
      </c>
      <c r="B8" s="14" t="s">
        <v>11</v>
      </c>
      <c r="C8" s="43">
        <v>55</v>
      </c>
      <c r="D8" s="16" t="s">
        <v>16</v>
      </c>
      <c r="E8" s="17" t="s">
        <v>13</v>
      </c>
      <c r="F8" s="43">
        <v>3.3</v>
      </c>
      <c r="G8" s="10"/>
      <c r="H8" s="20" t="s">
        <v>44</v>
      </c>
      <c r="I8" s="22"/>
      <c r="J8" s="22"/>
      <c r="K8" s="21" t="s">
        <v>20</v>
      </c>
      <c r="L8" s="81">
        <f>Vstupy!G12</f>
        <v>101</v>
      </c>
      <c r="M8" s="82"/>
    </row>
    <row r="9" spans="1:13" ht="30.75" customHeight="1" thickBot="1">
      <c r="A9" s="65" t="s">
        <v>58</v>
      </c>
      <c r="B9" s="66"/>
      <c r="C9" s="66"/>
      <c r="D9" s="66"/>
      <c r="E9" s="66"/>
      <c r="F9" s="66"/>
      <c r="G9" s="3"/>
      <c r="H9" s="33" t="s">
        <v>45</v>
      </c>
      <c r="I9" s="32"/>
      <c r="J9" s="32"/>
      <c r="K9" s="21" t="s">
        <v>20</v>
      </c>
      <c r="L9" s="81">
        <f>Vstupy!H12</f>
        <v>89</v>
      </c>
      <c r="M9" s="82"/>
    </row>
    <row r="10" spans="1:13" ht="27" customHeight="1" thickBot="1">
      <c r="A10" s="18" t="s">
        <v>17</v>
      </c>
      <c r="B10" s="14" t="s">
        <v>18</v>
      </c>
      <c r="C10" s="19">
        <f>ROUND(C5/60*4.2*(C8-C7),0)</f>
        <v>50</v>
      </c>
      <c r="D10" s="56"/>
      <c r="E10" s="57"/>
      <c r="F10" s="58"/>
      <c r="G10" s="3"/>
      <c r="H10" s="52" t="s">
        <v>46</v>
      </c>
      <c r="I10" s="52"/>
      <c r="J10" s="52"/>
      <c r="K10" s="52"/>
      <c r="L10" s="52"/>
      <c r="M10" s="52"/>
    </row>
    <row r="11" spans="1:13" ht="24.75" customHeight="1" thickBot="1">
      <c r="A11" s="13" t="s">
        <v>47</v>
      </c>
      <c r="B11" s="14" t="s">
        <v>19</v>
      </c>
      <c r="C11" s="19">
        <f>CEILING(C10/31,1)</f>
        <v>2</v>
      </c>
      <c r="D11" s="59"/>
      <c r="E11" s="60"/>
      <c r="F11" s="61"/>
      <c r="G11" s="3"/>
      <c r="H11" s="39" t="s">
        <v>50</v>
      </c>
      <c r="I11" s="3"/>
      <c r="J11" s="3"/>
      <c r="K11" s="3"/>
      <c r="L11" s="3"/>
      <c r="M11" s="38"/>
    </row>
    <row r="12" spans="1:13" ht="25.5" customHeight="1" thickBot="1">
      <c r="A12" s="13" t="s">
        <v>48</v>
      </c>
      <c r="B12" s="14" t="s">
        <v>19</v>
      </c>
      <c r="C12" s="19">
        <f>CEILING(C10/47,1)</f>
        <v>2</v>
      </c>
      <c r="D12" s="59"/>
      <c r="E12" s="60"/>
      <c r="F12" s="61"/>
      <c r="G12" s="3"/>
      <c r="H12" s="20" t="s">
        <v>44</v>
      </c>
      <c r="I12" s="22"/>
      <c r="J12" s="22"/>
      <c r="K12" s="21" t="s">
        <v>22</v>
      </c>
      <c r="L12" s="79">
        <f>1-(L8/L5)</f>
        <v>0.29370629370629375</v>
      </c>
      <c r="M12" s="80"/>
    </row>
    <row r="13" spans="1:13" ht="27" customHeight="1" thickBot="1">
      <c r="A13" s="13" t="s">
        <v>49</v>
      </c>
      <c r="B13" s="23" t="s">
        <v>19</v>
      </c>
      <c r="C13" s="19">
        <f>CEILING(C10/58,1)</f>
        <v>1</v>
      </c>
      <c r="D13" s="62"/>
      <c r="E13" s="63"/>
      <c r="F13" s="61"/>
      <c r="G13" s="3"/>
      <c r="H13" s="33" t="s">
        <v>45</v>
      </c>
      <c r="I13" s="32"/>
      <c r="J13" s="32"/>
      <c r="K13" s="21" t="s">
        <v>22</v>
      </c>
      <c r="L13" s="79">
        <f>1-(L9/L5)</f>
        <v>0.3776223776223776</v>
      </c>
      <c r="M13" s="80"/>
    </row>
    <row r="14" spans="1:13" ht="30.75" customHeight="1" thickBot="1">
      <c r="A14" s="64" t="s">
        <v>55</v>
      </c>
      <c r="B14" s="49"/>
      <c r="C14" s="49"/>
      <c r="D14" s="49"/>
      <c r="E14" s="24" t="s">
        <v>21</v>
      </c>
      <c r="F14" s="43">
        <v>400</v>
      </c>
      <c r="G14" s="3"/>
      <c r="H14" s="52" t="s">
        <v>46</v>
      </c>
      <c r="I14" s="52"/>
      <c r="J14" s="52"/>
      <c r="K14" s="52"/>
      <c r="L14" s="52"/>
      <c r="M14" s="52"/>
    </row>
    <row r="15" spans="1:13" ht="30.75" customHeight="1" thickBot="1">
      <c r="A15" s="67"/>
      <c r="B15" s="57"/>
      <c r="C15" s="58"/>
      <c r="D15" s="13" t="s">
        <v>23</v>
      </c>
      <c r="E15" s="14" t="s">
        <v>18</v>
      </c>
      <c r="F15" s="25">
        <f>ROUND(((C5*C6)-F14)/C6/60*4.2*(C8-C7),0)</f>
        <v>30</v>
      </c>
      <c r="G15" s="3"/>
      <c r="H15" s="39" t="s">
        <v>57</v>
      </c>
      <c r="I15" s="3"/>
      <c r="J15" s="3"/>
      <c r="K15" s="3"/>
      <c r="L15" s="3"/>
      <c r="M15" s="3"/>
    </row>
    <row r="16" spans="1:13" ht="26.25" thickBot="1">
      <c r="A16" s="68"/>
      <c r="B16" s="60"/>
      <c r="C16" s="61"/>
      <c r="D16" s="13" t="s">
        <v>24</v>
      </c>
      <c r="E16" s="14" t="s">
        <v>19</v>
      </c>
      <c r="F16" s="26" t="s">
        <v>25</v>
      </c>
      <c r="G16" s="3"/>
      <c r="H16" s="71" t="s">
        <v>27</v>
      </c>
      <c r="I16" s="72"/>
      <c r="J16" s="72"/>
      <c r="K16" s="72"/>
      <c r="L16" s="45" t="s">
        <v>30</v>
      </c>
      <c r="M16" s="44">
        <v>38</v>
      </c>
    </row>
    <row r="17" spans="1:13" ht="24" customHeight="1" thickBot="1">
      <c r="A17" s="68"/>
      <c r="B17" s="60"/>
      <c r="C17" s="61"/>
      <c r="D17" s="13" t="s">
        <v>26</v>
      </c>
      <c r="E17" s="14" t="s">
        <v>19</v>
      </c>
      <c r="F17" s="19">
        <f>CEILING(F15/47,1)</f>
        <v>1</v>
      </c>
      <c r="G17" s="3"/>
      <c r="H17" s="20" t="s">
        <v>44</v>
      </c>
      <c r="I17" s="22"/>
      <c r="J17" s="22"/>
      <c r="K17" s="21" t="s">
        <v>29</v>
      </c>
      <c r="L17" s="75">
        <f>36300/(L5/(C5*C6)*M16*10000-(L8/(C5*C6)*M16*10000))</f>
        <v>2.2735263157894745</v>
      </c>
      <c r="M17" s="76"/>
    </row>
    <row r="18" spans="1:13" ht="27.75" customHeight="1" thickBot="1">
      <c r="A18" s="69"/>
      <c r="B18" s="63"/>
      <c r="C18" s="70"/>
      <c r="D18" s="13" t="s">
        <v>28</v>
      </c>
      <c r="E18" s="23" t="s">
        <v>19</v>
      </c>
      <c r="F18" s="19">
        <f>CEILING(F15/58,1)</f>
        <v>1</v>
      </c>
      <c r="G18" s="3"/>
      <c r="H18" s="33" t="s">
        <v>45</v>
      </c>
      <c r="I18" s="32"/>
      <c r="J18" s="32"/>
      <c r="K18" s="21" t="s">
        <v>29</v>
      </c>
      <c r="L18" s="77">
        <f>56350/(L5/(C5*C6)*M16*10000-(L9/(C5*C6)*M16*10000))</f>
        <v>2.7450029239766085</v>
      </c>
      <c r="M18" s="78"/>
    </row>
    <row r="19" spans="1:13" ht="15">
      <c r="A19" s="28" t="s">
        <v>51</v>
      </c>
      <c r="B19" s="3"/>
      <c r="C19" s="3"/>
      <c r="D19" s="3"/>
      <c r="E19" s="3"/>
      <c r="F19" s="3"/>
      <c r="G19" s="3"/>
      <c r="H19" s="41" t="s">
        <v>59</v>
      </c>
      <c r="I19" s="27"/>
      <c r="J19" s="40"/>
      <c r="K19" s="31"/>
      <c r="L19" s="27"/>
      <c r="M19" s="40"/>
    </row>
    <row r="20" spans="1:13" ht="14.25">
      <c r="A20" s="42" t="s">
        <v>52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4.25">
      <c r="A21" s="42" t="s">
        <v>54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4.25">
      <c r="A22" s="42" t="s">
        <v>56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</sheetData>
  <sheetProtection sheet="1" objects="1" scenarios="1"/>
  <mergeCells count="20">
    <mergeCell ref="A15:C18"/>
    <mergeCell ref="H16:K16"/>
    <mergeCell ref="H5:J5"/>
    <mergeCell ref="D10:F13"/>
    <mergeCell ref="A14:D14"/>
    <mergeCell ref="H6:I6"/>
    <mergeCell ref="H14:M14"/>
    <mergeCell ref="L13:M13"/>
    <mergeCell ref="A9:F9"/>
    <mergeCell ref="H4:M4"/>
    <mergeCell ref="H3:M3"/>
    <mergeCell ref="H2:M2"/>
    <mergeCell ref="L12:M12"/>
    <mergeCell ref="L5:M5"/>
    <mergeCell ref="L18:M18"/>
    <mergeCell ref="H7:M7"/>
    <mergeCell ref="H10:M10"/>
    <mergeCell ref="L8:M8"/>
    <mergeCell ref="L9:M9"/>
    <mergeCell ref="L17:M17"/>
  </mergeCells>
  <printOptions/>
  <pageMargins left="0.16" right="0.16" top="0.67" bottom="0.51" header="0.4921259845" footer="0.36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I12"/>
  <sheetViews>
    <sheetView workbookViewId="0" topLeftCell="A1">
      <selection activeCell="G8" sqref="G8"/>
    </sheetView>
  </sheetViews>
  <sheetFormatPr defaultColWidth="9.140625" defaultRowHeight="12.75"/>
  <cols>
    <col min="3" max="3" width="30.7109375" style="0" customWidth="1"/>
    <col min="4" max="4" width="7.57421875" style="0" customWidth="1"/>
    <col min="6" max="7" width="15.28125" style="0" customWidth="1"/>
    <col min="8" max="8" width="16.421875" style="0" customWidth="1"/>
    <col min="9" max="9" width="15.8515625" style="0" customWidth="1"/>
  </cols>
  <sheetData>
    <row r="5" spans="6:9" ht="25.5">
      <c r="F5" s="34" t="s">
        <v>40</v>
      </c>
      <c r="G5" s="34" t="s">
        <v>41</v>
      </c>
      <c r="H5" s="34" t="s">
        <v>42</v>
      </c>
      <c r="I5" s="34"/>
    </row>
    <row r="6" spans="3:8" ht="27" customHeight="1">
      <c r="C6" s="35" t="s">
        <v>6</v>
      </c>
      <c r="D6" s="36"/>
      <c r="E6" s="37">
        <v>3</v>
      </c>
      <c r="F6" s="37">
        <f>IF(E6=1,'Výpočet Rinnai'!F7*'Výpočet Rinnai'!C10/0.95*'Výpočet Rinnai'!C6/60,0)</f>
        <v>0</v>
      </c>
      <c r="G6" s="37">
        <f>IF(E6=1,ROUND('Výpočet Rinnai'!F6/12.08*'Výpočet Rinnai'!C10/0.85*'Výpočet Rinnai'!C6/60,0),0)</f>
        <v>0</v>
      </c>
      <c r="H6" s="37">
        <f>IF(E6=1,ROUND('Výpočet Rinnai'!F6/12.08*'Výpočet Rinnai'!C10/0.96*'Výpočet Rinnai'!C6/60,0),0)</f>
        <v>0</v>
      </c>
    </row>
    <row r="7" spans="3:8" ht="23.25" customHeight="1">
      <c r="C7" s="35" t="s">
        <v>34</v>
      </c>
      <c r="D7" s="35"/>
      <c r="E7" s="37"/>
      <c r="F7" s="37">
        <f>IF(E6=2,'Výpočet Rinnai'!F8*'Výpočet Rinnai'!C10/0.95*'Výpočet Rinnai'!C6/60,0)</f>
        <v>0</v>
      </c>
      <c r="G7" s="37">
        <f>IF(E6=2,ROUND('Výpočet Rinnai'!F6/12.08*'Výpočet Rinnai'!C10/0.85*'Výpočet Rinnai'!C6/60,0),0)</f>
        <v>0</v>
      </c>
      <c r="H7" s="37">
        <f>IF(E6=2,ROUND('Výpočet Rinnai'!F6/12.08*'Výpočet Rinnai'!C10/0.96*'Výpočet Rinnai'!C6/60,0),0)</f>
        <v>0</v>
      </c>
    </row>
    <row r="8" spans="3:8" ht="24.75" customHeight="1">
      <c r="C8" s="35" t="s">
        <v>14</v>
      </c>
      <c r="D8" s="35"/>
      <c r="E8" s="37"/>
      <c r="F8" s="37">
        <f>IF(E6=3,ROUND('Výpočet Rinnai'!F5/10.5*'Výpočet Rinnai'!C10/0.6*'Výpočet Rinnai'!C6/60,0),0)</f>
        <v>143</v>
      </c>
      <c r="G8" s="37">
        <f>IF(E6=3,ROUND('Výpočet Rinnai'!F5/10.5*'Výpočet Rinnai'!C10/0.85*'Výpočet Rinnai'!C6/60,0),0)</f>
        <v>101</v>
      </c>
      <c r="H8" s="37">
        <f>IF(E6=3,ROUND('Výpočet Rinnai'!F5/10.5*'Výpočet Rinnai'!C10/0.96*'Výpočet Rinnai'!C6/60,0),0)</f>
        <v>89</v>
      </c>
    </row>
    <row r="9" spans="3:8" ht="24" customHeight="1">
      <c r="C9" s="35" t="s">
        <v>35</v>
      </c>
      <c r="D9" s="35"/>
      <c r="E9" s="37"/>
      <c r="F9" s="37">
        <f>IF(E6=4,ROUND('Výpočet Rinnai'!F5/10.5*'Výpočet Rinnai'!C10/0.5*'Výpočet Rinnai'!C6/60,0),0)</f>
        <v>0</v>
      </c>
      <c r="G9" s="37">
        <f>IF(E6=4,ROUND('Výpočet Rinnai'!F5/10.5*'Výpočet Rinnai'!C10/0.85*'Výpočet Rinnai'!C6/60,0),0)</f>
        <v>0</v>
      </c>
      <c r="H9" s="37">
        <f>IF(E6=4,ROUND('Výpočet Rinnai'!F5/10.5*'Výpočet Rinnai'!C10/0.96*'Výpočet Rinnai'!C6/60,0),0)</f>
        <v>0</v>
      </c>
    </row>
    <row r="10" spans="3:8" ht="25.5">
      <c r="C10" s="35" t="s">
        <v>33</v>
      </c>
      <c r="D10" s="37"/>
      <c r="E10" s="37"/>
      <c r="F10" s="37">
        <f>IF(E6=5,ROUND('Výpočet Rinnai'!F6/12.083*'Výpočet Rinnai'!C10/0.6*'Výpočet Rinnai'!C6/60,0),0)</f>
        <v>0</v>
      </c>
      <c r="G10" s="37">
        <f>IF(E6=5,ROUND('Výpočet Rinnai'!F6/12.08*'Výpočet Rinnai'!C10/0.85*'Výpočet Rinnai'!C6/60,0),0)</f>
        <v>0</v>
      </c>
      <c r="H10" s="37">
        <f>IF(E6=5,ROUND('Výpočet Rinnai'!F6/12.08*'Výpočet Rinnai'!C10/0.96*'Výpočet Rinnai'!C6/60,0),0)</f>
        <v>0</v>
      </c>
    </row>
    <row r="11" spans="3:8" ht="12.75">
      <c r="C11" s="35" t="s">
        <v>36</v>
      </c>
      <c r="D11" s="37"/>
      <c r="E11" s="37"/>
      <c r="F11" s="37">
        <f>IF(E6=6,ROUND('Výpočet Rinnai'!F6/12.083*'Výpočet Rinnai'!C10/0.5*'Výpočet Rinnai'!C6/60,0),0)</f>
        <v>0</v>
      </c>
      <c r="G11" s="37">
        <f>IF(E6=6,ROUND('Výpočet Rinnai'!F6/12.08*'Výpočet Rinnai'!C10/0.85*'Výpočet Rinnai'!C6/60,0),0)</f>
        <v>0</v>
      </c>
      <c r="H11" s="37">
        <f>IF(E6=6,ROUND('Výpočet Rinnai'!F6/12.08*'Výpočet Rinnai'!C10/0.96*'Výpočet Rinnai'!C6/60,0),0)</f>
        <v>0</v>
      </c>
    </row>
    <row r="12" spans="3:8" ht="12.75">
      <c r="C12" s="35" t="s">
        <v>43</v>
      </c>
      <c r="F12">
        <f>SUM(F6:F11)</f>
        <v>143</v>
      </c>
      <c r="G12" s="37">
        <f>SUM(G6:G11)</f>
        <v>101</v>
      </c>
      <c r="H12" s="37">
        <f>SUM(H6:H11)</f>
        <v>89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H&amp;I Trading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Vašek</dc:creator>
  <cp:keywords/>
  <dc:description/>
  <cp:lastModifiedBy>Vašek</cp:lastModifiedBy>
  <cp:lastPrinted>2012-05-28T14:45:25Z</cp:lastPrinted>
  <dcterms:created xsi:type="dcterms:W3CDTF">2012-05-28T07:21:22Z</dcterms:created>
  <dcterms:modified xsi:type="dcterms:W3CDTF">2013-04-17T14:25:10Z</dcterms:modified>
  <cp:category/>
  <cp:version/>
  <cp:contentType/>
  <cp:contentStatus/>
</cp:coreProperties>
</file>